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 ARR Program (FY2025)\"/>
    </mc:Choice>
  </mc:AlternateContent>
  <xr:revisionPtr revIDLastSave="0" documentId="13_ncr:1_{EA6B7A3F-93D3-44B9-8AE0-1CB586E85676}" xr6:coauthVersionLast="47" xr6:coauthVersionMax="47" xr10:uidLastSave="{00000000-0000-0000-0000-000000000000}"/>
  <bookViews>
    <workbookView xWindow="-120" yWindow="-120" windowWidth="29040" windowHeight="15840" xr2:uid="{86FA60EC-E3BE-4AF1-B9EE-86D8C33D559B}"/>
  </bookViews>
  <sheets>
    <sheet name="Sources Uses Soft Second" sheetId="1" r:id="rId1"/>
    <sheet name="Mortgage Income Estimate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4" i="2"/>
  <c r="B11" i="2" s="1"/>
  <c r="C30" i="1"/>
  <c r="C36" i="1" s="1"/>
  <c r="C26" i="1"/>
  <c r="F26" i="1" s="1"/>
  <c r="C25" i="1"/>
  <c r="C24" i="1"/>
  <c r="E24" i="1" s="1"/>
  <c r="F23" i="1"/>
  <c r="F22" i="1"/>
  <c r="G6" i="1"/>
  <c r="F11" i="1" s="1"/>
  <c r="G5" i="1"/>
  <c r="E32" i="1" s="1"/>
  <c r="F27" i="1" l="1"/>
  <c r="C28" i="1"/>
  <c r="F32" i="1"/>
  <c r="G26" i="1"/>
  <c r="F12" i="1"/>
  <c r="E12" i="1"/>
  <c r="E17" i="1"/>
  <c r="G25" i="1"/>
  <c r="E27" i="1"/>
  <c r="F17" i="1"/>
  <c r="B10" i="2"/>
  <c r="B12" i="2" s="1"/>
  <c r="B14" i="2" s="1"/>
  <c r="B17" i="2" s="1"/>
  <c r="E23" i="1"/>
  <c r="F34" i="1"/>
  <c r="G27" i="1"/>
  <c r="G34" i="1"/>
  <c r="E18" i="1"/>
  <c r="F18" i="1"/>
  <c r="E35" i="1"/>
  <c r="G12" i="1"/>
  <c r="G23" i="1"/>
  <c r="E8" i="1"/>
  <c r="F8" i="1"/>
  <c r="E30" i="1"/>
  <c r="F35" i="1"/>
  <c r="F33" i="1"/>
  <c r="E13" i="1"/>
  <c r="E34" i="1"/>
  <c r="E15" i="1"/>
  <c r="F20" i="1"/>
  <c r="E25" i="1"/>
  <c r="F30" i="1"/>
  <c r="G35" i="1"/>
  <c r="F13" i="1"/>
  <c r="G13" i="1"/>
  <c r="F24" i="1"/>
  <c r="G24" i="1"/>
  <c r="G9" i="1"/>
  <c r="E10" i="1"/>
  <c r="F15" i="1"/>
  <c r="G20" i="1"/>
  <c r="F25" i="1"/>
  <c r="G30" i="1"/>
  <c r="E33" i="1"/>
  <c r="G8" i="1"/>
  <c r="E9" i="1"/>
  <c r="F9" i="1"/>
  <c r="F10" i="1"/>
  <c r="G15" i="1"/>
  <c r="E21" i="1"/>
  <c r="E31" i="1"/>
  <c r="C37" i="1"/>
  <c r="E14" i="1"/>
  <c r="F14" i="1"/>
  <c r="E20" i="1"/>
  <c r="G10" i="1"/>
  <c r="E16" i="1"/>
  <c r="F21" i="1"/>
  <c r="F31" i="1"/>
  <c r="G33" i="1"/>
  <c r="G18" i="1"/>
  <c r="E19" i="1"/>
  <c r="F19" i="1"/>
  <c r="G19" i="1"/>
  <c r="G14" i="1"/>
  <c r="E11" i="1"/>
  <c r="F16" i="1"/>
  <c r="G21" i="1"/>
  <c r="E26" i="1"/>
  <c r="G31" i="1"/>
  <c r="E22" i="1"/>
  <c r="G16" i="1" l="1"/>
  <c r="G11" i="1"/>
  <c r="G17" i="1"/>
  <c r="G32" i="1"/>
  <c r="G22" i="1"/>
  <c r="F28" i="1"/>
  <c r="E28" i="1"/>
  <c r="G37" i="1"/>
  <c r="F37" i="1"/>
  <c r="E37" i="1"/>
  <c r="G28" i="1"/>
</calcChain>
</file>

<file path=xl/sharedStrings.xml><?xml version="1.0" encoding="utf-8"?>
<sst xmlns="http://schemas.openxmlformats.org/spreadsheetml/2006/main" count="93" uniqueCount="68">
  <si>
    <t>Single Family Development Workbook - ARR Program FY25 (Soft Second Financing Request)</t>
  </si>
  <si>
    <t>In the Below selection, describe the unit type proposed for this development.</t>
  </si>
  <si>
    <t>Units</t>
  </si>
  <si>
    <t>Property Address</t>
  </si>
  <si>
    <t>Beds</t>
  </si>
  <si>
    <t>Baths</t>
  </si>
  <si>
    <t>Square Footage</t>
  </si>
  <si>
    <t>Count</t>
  </si>
  <si>
    <t>Example</t>
  </si>
  <si>
    <t>Total Units</t>
  </si>
  <si>
    <t>Total unit SF</t>
  </si>
  <si>
    <t>Uses</t>
  </si>
  <si>
    <t>Per Unit</t>
  </si>
  <si>
    <t>Per Square Foot</t>
  </si>
  <si>
    <t>% Cost</t>
  </si>
  <si>
    <t>Acquistion</t>
  </si>
  <si>
    <t>Property purchase</t>
  </si>
  <si>
    <t>Rehabilitation</t>
  </si>
  <si>
    <t>Foundation (repair)</t>
  </si>
  <si>
    <t>Structure (Trusses, windows)</t>
  </si>
  <si>
    <t>Site Work (Landscape, septic, water line)</t>
  </si>
  <si>
    <t>Exterior (Roofing, siding, driveway)</t>
  </si>
  <si>
    <t>Interior (drywall, insulation, paint)</t>
  </si>
  <si>
    <t>Moisture Protection</t>
  </si>
  <si>
    <t>Windows &amp; Doors</t>
  </si>
  <si>
    <t>Finishings (doors, cabinets, countertops)</t>
  </si>
  <si>
    <t>Systems (HVAC)</t>
  </si>
  <si>
    <t>Electrical</t>
  </si>
  <si>
    <t>Plumbing</t>
  </si>
  <si>
    <t>Appliances (Range, cooktop, dishwasher, package)</t>
  </si>
  <si>
    <t>Flooring</t>
  </si>
  <si>
    <t>Taxes</t>
  </si>
  <si>
    <t>Property Taxes</t>
  </si>
  <si>
    <t>Marketing</t>
  </si>
  <si>
    <t>Disposition</t>
  </si>
  <si>
    <t>Realtors Fees</t>
  </si>
  <si>
    <t>Seller Closing Costs</t>
  </si>
  <si>
    <t>Seller Paid Buyer's Closing Costs</t>
  </si>
  <si>
    <t>Developer's Fee</t>
  </si>
  <si>
    <t>Total Project Cost</t>
  </si>
  <si>
    <t>Sources</t>
  </si>
  <si>
    <t>Source</t>
  </si>
  <si>
    <t>First Mortgage Review</t>
  </si>
  <si>
    <t>House Charlotte</t>
  </si>
  <si>
    <t>NCHFA (CPLP)</t>
  </si>
  <si>
    <t>Other:</t>
  </si>
  <si>
    <t>ARR Soft Second Financing Request</t>
  </si>
  <si>
    <t>Total Sources</t>
  </si>
  <si>
    <t>Remaining Gap</t>
  </si>
  <si>
    <t>Buyer Scenario 1</t>
  </si>
  <si>
    <t>Projected Sale Price</t>
  </si>
  <si>
    <t>Total Development Cost</t>
  </si>
  <si>
    <t>Buyer Family Size</t>
  </si>
  <si>
    <t>Buyer AMI</t>
  </si>
  <si>
    <t>Buyer Income</t>
  </si>
  <si>
    <t>Front End Ratio</t>
  </si>
  <si>
    <t>Buyer Max Payment</t>
  </si>
  <si>
    <t>Estimated Monthy Insurance</t>
  </si>
  <si>
    <t>Estimated Monthy Tax</t>
  </si>
  <si>
    <t>PI Payment</t>
  </si>
  <si>
    <t>Mortgage Rate</t>
  </si>
  <si>
    <t>First Mortgage</t>
  </si>
  <si>
    <t>Buyers</t>
  </si>
  <si>
    <t>Total Mortgage Revenue</t>
  </si>
  <si>
    <t>Actual Cost</t>
  </si>
  <si>
    <t>Actual Amount</t>
  </si>
  <si>
    <t>Estimated Cost</t>
  </si>
  <si>
    <t>Est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</si>
</sst>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164" fontId="0" fillId="4" borderId="12" xfId="1" applyNumberFormat="1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0" borderId="0" xfId="0" applyFont="1"/>
    <xf numFmtId="0" fontId="0" fillId="2" borderId="16" xfId="0" applyFill="1" applyBorder="1"/>
    <xf numFmtId="0" fontId="0" fillId="2" borderId="17" xfId="0" applyFill="1" applyBorder="1"/>
    <xf numFmtId="44" fontId="0" fillId="3" borderId="18" xfId="2" applyFont="1" applyFill="1" applyBorder="1"/>
    <xf numFmtId="44" fontId="0" fillId="4" borderId="18" xfId="0" applyNumberFormat="1" applyFill="1" applyBorder="1"/>
    <xf numFmtId="44" fontId="0" fillId="4" borderId="18" xfId="2" applyFont="1" applyFill="1" applyBorder="1"/>
    <xf numFmtId="9" fontId="0" fillId="4" borderId="19" xfId="3" applyFont="1" applyFill="1" applyBorder="1"/>
    <xf numFmtId="0" fontId="0" fillId="2" borderId="20" xfId="0" applyFill="1" applyBorder="1"/>
    <xf numFmtId="164" fontId="1" fillId="2" borderId="18" xfId="1" applyNumberFormat="1" applyFont="1" applyFill="1" applyBorder="1" applyAlignment="1"/>
    <xf numFmtId="44" fontId="6" fillId="3" borderId="0" xfId="1" applyNumberFormat="1" applyFont="1" applyFill="1" applyBorder="1"/>
    <xf numFmtId="164" fontId="1" fillId="2" borderId="21" xfId="1" applyNumberFormat="1" applyFont="1" applyFill="1" applyBorder="1" applyAlignment="1"/>
    <xf numFmtId="44" fontId="6" fillId="3" borderId="22" xfId="1" applyNumberFormat="1" applyFont="1" applyFill="1" applyBorder="1"/>
    <xf numFmtId="44" fontId="6" fillId="3" borderId="23" xfId="1" applyNumberFormat="1" applyFont="1" applyFill="1" applyBorder="1"/>
    <xf numFmtId="44" fontId="0" fillId="4" borderId="24" xfId="0" applyNumberFormat="1" applyFill="1" applyBorder="1"/>
    <xf numFmtId="164" fontId="1" fillId="2" borderId="25" xfId="1" applyNumberFormat="1" applyFont="1" applyFill="1" applyBorder="1" applyAlignment="1"/>
    <xf numFmtId="44" fontId="6" fillId="3" borderId="24" xfId="1" applyNumberFormat="1" applyFont="1" applyFill="1" applyBorder="1"/>
    <xf numFmtId="44" fontId="0" fillId="3" borderId="26" xfId="2" applyFont="1" applyFill="1" applyBorder="1"/>
    <xf numFmtId="0" fontId="0" fillId="2" borderId="18" xfId="0" applyFill="1" applyBorder="1"/>
    <xf numFmtId="44" fontId="0" fillId="3" borderId="24" xfId="2" applyFont="1" applyFill="1" applyBorder="1"/>
    <xf numFmtId="0" fontId="0" fillId="2" borderId="27" xfId="0" applyFill="1" applyBorder="1"/>
    <xf numFmtId="0" fontId="0" fillId="2" borderId="26" xfId="0" applyFill="1" applyBorder="1"/>
    <xf numFmtId="0" fontId="0" fillId="2" borderId="28" xfId="0" applyFill="1" applyBorder="1"/>
    <xf numFmtId="44" fontId="0" fillId="3" borderId="17" xfId="2" applyFont="1" applyFill="1" applyBorder="1"/>
    <xf numFmtId="44" fontId="0" fillId="4" borderId="17" xfId="0" applyNumberFormat="1" applyFill="1" applyBorder="1"/>
    <xf numFmtId="44" fontId="0" fillId="4" borderId="17" xfId="2" applyFont="1" applyFill="1" applyBorder="1"/>
    <xf numFmtId="9" fontId="0" fillId="4" borderId="29" xfId="3" applyFont="1" applyFill="1" applyBorder="1"/>
    <xf numFmtId="0" fontId="0" fillId="5" borderId="30" xfId="0" applyFill="1" applyBorder="1"/>
    <xf numFmtId="0" fontId="0" fillId="5" borderId="31" xfId="0" applyFill="1" applyBorder="1"/>
    <xf numFmtId="44" fontId="0" fillId="5" borderId="31" xfId="0" applyNumberFormat="1" applyFill="1" applyBorder="1"/>
    <xf numFmtId="9" fontId="0" fillId="5" borderId="32" xfId="3" applyFont="1" applyFill="1" applyBorder="1"/>
    <xf numFmtId="0" fontId="0" fillId="2" borderId="0" xfId="0" applyFill="1"/>
    <xf numFmtId="44" fontId="0" fillId="2" borderId="18" xfId="2" applyFont="1" applyFill="1" applyBorder="1"/>
    <xf numFmtId="0" fontId="0" fillId="2" borderId="33" xfId="0" applyFill="1" applyBorder="1"/>
    <xf numFmtId="0" fontId="0" fillId="3" borderId="0" xfId="0" applyFill="1"/>
    <xf numFmtId="0" fontId="2" fillId="2" borderId="0" xfId="0" applyFont="1" applyFill="1"/>
    <xf numFmtId="0" fontId="0" fillId="5" borderId="34" xfId="0" applyFill="1" applyBorder="1"/>
    <xf numFmtId="0" fontId="0" fillId="5" borderId="35" xfId="0" applyFill="1" applyBorder="1"/>
    <xf numFmtId="44" fontId="0" fillId="5" borderId="35" xfId="0" applyNumberFormat="1" applyFill="1" applyBorder="1"/>
    <xf numFmtId="9" fontId="0" fillId="5" borderId="36" xfId="3" applyFont="1" applyFill="1" applyBorder="1"/>
    <xf numFmtId="0" fontId="0" fillId="5" borderId="37" xfId="0" applyFill="1" applyBorder="1"/>
    <xf numFmtId="0" fontId="0" fillId="5" borderId="38" xfId="0" applyFill="1" applyBorder="1"/>
    <xf numFmtId="44" fontId="0" fillId="5" borderId="38" xfId="0" applyNumberFormat="1" applyFill="1" applyBorder="1"/>
    <xf numFmtId="9" fontId="0" fillId="5" borderId="39" xfId="3" applyFont="1" applyFill="1" applyBorder="1"/>
    <xf numFmtId="0" fontId="0" fillId="0" borderId="40" xfId="0" applyBorder="1"/>
    <xf numFmtId="0" fontId="2" fillId="0" borderId="0" xfId="0" applyFont="1"/>
    <xf numFmtId="44" fontId="0" fillId="0" borderId="40" xfId="0" applyNumberFormat="1" applyBorder="1"/>
    <xf numFmtId="44" fontId="0" fillId="5" borderId="40" xfId="0" applyNumberFormat="1" applyFill="1" applyBorder="1"/>
    <xf numFmtId="0" fontId="0" fillId="3" borderId="40" xfId="0" applyFill="1" applyBorder="1" applyProtection="1">
      <protection locked="0"/>
    </xf>
    <xf numFmtId="9" fontId="0" fillId="3" borderId="40" xfId="3" applyFont="1" applyFill="1" applyBorder="1" applyProtection="1">
      <protection locked="0"/>
    </xf>
    <xf numFmtId="44" fontId="0" fillId="3" borderId="40" xfId="2" applyFont="1" applyFill="1" applyBorder="1" applyProtection="1">
      <protection locked="0"/>
    </xf>
    <xf numFmtId="9" fontId="0" fillId="3" borderId="40" xfId="0" applyNumberFormat="1" applyFill="1" applyBorder="1" applyAlignment="1" applyProtection="1">
      <alignment horizontal="right"/>
      <protection locked="0"/>
    </xf>
    <xf numFmtId="44" fontId="0" fillId="5" borderId="40" xfId="2" applyFont="1" applyFill="1" applyBorder="1"/>
    <xf numFmtId="10" fontId="0" fillId="3" borderId="40" xfId="3" applyNumberFormat="1" applyFont="1" applyFill="1" applyBorder="1"/>
    <xf numFmtId="44" fontId="0" fillId="5" borderId="0" xfId="0" applyNumberFormat="1" applyFill="1"/>
    <xf numFmtId="0" fontId="2" fillId="0" borderId="0" xfId="0" applyFont="1" applyAlignment="1">
      <alignment horizontal="left"/>
    </xf>
    <xf numFmtId="44" fontId="0" fillId="6" borderId="18" xfId="2" applyFont="1" applyFill="1" applyBorder="1"/>
    <xf numFmtId="44" fontId="6" fillId="6" borderId="0" xfId="1" applyNumberFormat="1" applyFont="1" applyFill="1" applyBorder="1"/>
    <xf numFmtId="44" fontId="6" fillId="6" borderId="22" xfId="1" applyNumberFormat="1" applyFont="1" applyFill="1" applyBorder="1"/>
    <xf numFmtId="44" fontId="6" fillId="6" borderId="23" xfId="1" applyNumberFormat="1" applyFont="1" applyFill="1" applyBorder="1"/>
    <xf numFmtId="44" fontId="6" fillId="6" borderId="24" xfId="1" applyNumberFormat="1" applyFont="1" applyFill="1" applyBorder="1"/>
    <xf numFmtId="44" fontId="0" fillId="6" borderId="26" xfId="2" applyFont="1" applyFill="1" applyBorder="1"/>
    <xf numFmtId="44" fontId="0" fillId="6" borderId="24" xfId="2" applyFont="1" applyFill="1" applyBorder="1"/>
    <xf numFmtId="44" fontId="0" fillId="6" borderId="17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2163\Downloads\ARR%20single-family-workbook-FY25.xlsx" TargetMode="External"/><Relationship Id="rId1" Type="http://schemas.openxmlformats.org/officeDocument/2006/relationships/externalLinkPath" Target="file:///C:\Users\102163\Downloads\ARR%20single-family-workbook-FY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rces Uses Construction Loan"/>
      <sheetName val="Sources Uses Subsidy Request"/>
      <sheetName val="Sources Uses Soft Second"/>
      <sheetName val="Mortgage Income Estimate"/>
    </sheetNames>
    <sheetDataSet>
      <sheetData sheetId="0">
        <row r="28">
          <cell r="C28">
            <v>342700</v>
          </cell>
        </row>
      </sheetData>
      <sheetData sheetId="1"/>
      <sheetData sheetId="2"/>
      <sheetData sheetId="3">
        <row r="17">
          <cell r="B17">
            <v>192717.24720581545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B94F5-19A7-4230-9BB4-6696F8299877}">
  <dimension ref="A1:G37"/>
  <sheetViews>
    <sheetView tabSelected="1" topLeftCell="A3" workbookViewId="0">
      <selection activeCell="D30" sqref="D30"/>
    </sheetView>
  </sheetViews>
  <sheetFormatPr defaultRowHeight="15" x14ac:dyDescent="0.25"/>
  <cols>
    <col min="1" max="1" width="20.5703125" customWidth="1"/>
    <col min="2" max="2" width="32.7109375" customWidth="1"/>
    <col min="3" max="3" width="16" bestFit="1" customWidth="1"/>
    <col min="4" max="4" width="16" customWidth="1"/>
    <col min="5" max="6" width="15.28515625" customWidth="1"/>
  </cols>
  <sheetData>
    <row r="1" spans="1:7" ht="18.75" x14ac:dyDescent="0.3">
      <c r="A1" s="1" t="s">
        <v>0</v>
      </c>
    </row>
    <row r="2" spans="1:7" ht="18.75" customHeight="1" thickBot="1" x14ac:dyDescent="0.3">
      <c r="A2" s="71" t="s">
        <v>1</v>
      </c>
      <c r="B2" s="71"/>
      <c r="C2" s="71"/>
      <c r="D2" s="71"/>
      <c r="E2" s="71"/>
      <c r="F2" s="71"/>
      <c r="G2" s="71"/>
    </row>
    <row r="3" spans="1:7" ht="15.75" x14ac:dyDescent="0.25">
      <c r="A3" s="2" t="s">
        <v>2</v>
      </c>
      <c r="B3" s="3" t="s">
        <v>3</v>
      </c>
      <c r="C3" s="3" t="s">
        <v>4</v>
      </c>
      <c r="D3" s="3"/>
      <c r="E3" s="3" t="s">
        <v>5</v>
      </c>
      <c r="F3" s="3" t="s">
        <v>6</v>
      </c>
      <c r="G3" s="4" t="s">
        <v>7</v>
      </c>
    </row>
    <row r="4" spans="1:7" x14ac:dyDescent="0.25">
      <c r="A4" s="5">
        <v>1</v>
      </c>
      <c r="B4" s="6" t="s">
        <v>8</v>
      </c>
      <c r="C4" s="6">
        <v>2</v>
      </c>
      <c r="D4" s="6"/>
      <c r="E4" s="6">
        <v>2</v>
      </c>
      <c r="F4" s="6">
        <v>1550</v>
      </c>
      <c r="G4" s="7">
        <v>1</v>
      </c>
    </row>
    <row r="5" spans="1:7" x14ac:dyDescent="0.25">
      <c r="A5" s="8"/>
      <c r="B5" s="9" t="s">
        <v>9</v>
      </c>
      <c r="C5" s="9"/>
      <c r="D5" s="9"/>
      <c r="E5" s="9"/>
      <c r="F5" s="9"/>
      <c r="G5" s="10">
        <f>SUM(G4:G4)</f>
        <v>1</v>
      </c>
    </row>
    <row r="6" spans="1:7" ht="15.75" thickBot="1" x14ac:dyDescent="0.3">
      <c r="A6" s="11"/>
      <c r="B6" s="12" t="s">
        <v>10</v>
      </c>
      <c r="C6" s="12"/>
      <c r="D6" s="12"/>
      <c r="E6" s="12"/>
      <c r="F6" s="12"/>
      <c r="G6" s="13">
        <f>F4</f>
        <v>1550</v>
      </c>
    </row>
    <row r="7" spans="1:7" s="17" customFormat="1" ht="15.75" x14ac:dyDescent="0.25">
      <c r="A7" s="14" t="s">
        <v>11</v>
      </c>
      <c r="B7" s="15"/>
      <c r="C7" s="15" t="s">
        <v>66</v>
      </c>
      <c r="D7" s="15" t="s">
        <v>64</v>
      </c>
      <c r="E7" s="15" t="s">
        <v>12</v>
      </c>
      <c r="F7" s="15" t="s">
        <v>13</v>
      </c>
      <c r="G7" s="16" t="s">
        <v>14</v>
      </c>
    </row>
    <row r="8" spans="1:7" x14ac:dyDescent="0.25">
      <c r="A8" s="18" t="s">
        <v>15</v>
      </c>
      <c r="B8" s="19" t="s">
        <v>16</v>
      </c>
      <c r="C8" s="20">
        <v>250000</v>
      </c>
      <c r="D8" s="72"/>
      <c r="E8" s="21">
        <f t="shared" ref="E8:E27" si="0">C8/$G$5</f>
        <v>250000</v>
      </c>
      <c r="F8" s="22">
        <f t="shared" ref="F8:F27" si="1">C8/$G$6</f>
        <v>161.29032258064515</v>
      </c>
      <c r="G8" s="23">
        <f t="shared" ref="G8:G27" si="2">C8/$C$28</f>
        <v>0.72421784472769413</v>
      </c>
    </row>
    <row r="9" spans="1:7" x14ac:dyDescent="0.25">
      <c r="A9" s="24" t="s">
        <v>17</v>
      </c>
      <c r="B9" s="25" t="s">
        <v>18</v>
      </c>
      <c r="C9" s="26">
        <v>8000</v>
      </c>
      <c r="D9" s="73"/>
      <c r="E9" s="21">
        <f t="shared" si="0"/>
        <v>8000</v>
      </c>
      <c r="F9" s="22">
        <f t="shared" si="1"/>
        <v>5.161290322580645</v>
      </c>
      <c r="G9" s="23">
        <f t="shared" si="2"/>
        <v>2.3174971031286212E-2</v>
      </c>
    </row>
    <row r="10" spans="1:7" x14ac:dyDescent="0.25">
      <c r="A10" s="18" t="s">
        <v>17</v>
      </c>
      <c r="B10" s="27" t="s">
        <v>19</v>
      </c>
      <c r="C10" s="28">
        <v>5000</v>
      </c>
      <c r="D10" s="74"/>
      <c r="E10" s="21">
        <f t="shared" si="0"/>
        <v>5000</v>
      </c>
      <c r="F10" s="22">
        <f t="shared" si="1"/>
        <v>3.225806451612903</v>
      </c>
      <c r="G10" s="23">
        <f t="shared" si="2"/>
        <v>1.4484356894553883E-2</v>
      </c>
    </row>
    <row r="11" spans="1:7" x14ac:dyDescent="0.25">
      <c r="A11" s="24" t="s">
        <v>17</v>
      </c>
      <c r="B11" s="25" t="s">
        <v>20</v>
      </c>
      <c r="C11" s="26">
        <v>2000</v>
      </c>
      <c r="D11" s="73"/>
      <c r="E11" s="21">
        <f t="shared" si="0"/>
        <v>2000</v>
      </c>
      <c r="F11" s="22">
        <f t="shared" si="1"/>
        <v>1.2903225806451613</v>
      </c>
      <c r="G11" s="23">
        <f t="shared" si="2"/>
        <v>5.7937427578215531E-3</v>
      </c>
    </row>
    <row r="12" spans="1:7" x14ac:dyDescent="0.25">
      <c r="A12" s="18" t="s">
        <v>17</v>
      </c>
      <c r="B12" s="25" t="s">
        <v>21</v>
      </c>
      <c r="C12" s="29">
        <v>10000</v>
      </c>
      <c r="D12" s="75"/>
      <c r="E12" s="30">
        <f t="shared" si="0"/>
        <v>10000</v>
      </c>
      <c r="F12" s="22">
        <f t="shared" si="1"/>
        <v>6.4516129032258061</v>
      </c>
      <c r="G12" s="23">
        <f t="shared" si="2"/>
        <v>2.8968713789107765E-2</v>
      </c>
    </row>
    <row r="13" spans="1:7" x14ac:dyDescent="0.25">
      <c r="A13" s="24" t="s">
        <v>17</v>
      </c>
      <c r="B13" s="25" t="s">
        <v>22</v>
      </c>
      <c r="C13" s="29"/>
      <c r="D13" s="75"/>
      <c r="E13" s="30">
        <f t="shared" si="0"/>
        <v>0</v>
      </c>
      <c r="F13" s="22">
        <f t="shared" si="1"/>
        <v>0</v>
      </c>
      <c r="G13" s="23">
        <f t="shared" si="2"/>
        <v>0</v>
      </c>
    </row>
    <row r="14" spans="1:7" x14ac:dyDescent="0.25">
      <c r="A14" s="24" t="s">
        <v>17</v>
      </c>
      <c r="B14" s="25" t="s">
        <v>23</v>
      </c>
      <c r="C14" s="29">
        <v>0</v>
      </c>
      <c r="D14" s="75"/>
      <c r="E14" s="30">
        <f t="shared" si="0"/>
        <v>0</v>
      </c>
      <c r="F14" s="22">
        <f t="shared" si="1"/>
        <v>0</v>
      </c>
      <c r="G14" s="23">
        <f t="shared" si="2"/>
        <v>0</v>
      </c>
    </row>
    <row r="15" spans="1:7" x14ac:dyDescent="0.25">
      <c r="A15" s="18" t="s">
        <v>17</v>
      </c>
      <c r="B15" s="25" t="s">
        <v>24</v>
      </c>
      <c r="C15" s="29">
        <v>4000</v>
      </c>
      <c r="D15" s="75"/>
      <c r="E15" s="30">
        <f t="shared" si="0"/>
        <v>4000</v>
      </c>
      <c r="F15" s="22">
        <f t="shared" si="1"/>
        <v>2.5806451612903225</v>
      </c>
      <c r="G15" s="23">
        <f t="shared" si="2"/>
        <v>1.1587485515643106E-2</v>
      </c>
    </row>
    <row r="16" spans="1:7" x14ac:dyDescent="0.25">
      <c r="A16" s="18" t="s">
        <v>17</v>
      </c>
      <c r="B16" s="31" t="s">
        <v>25</v>
      </c>
      <c r="C16" s="29">
        <v>1000</v>
      </c>
      <c r="D16" s="75"/>
      <c r="E16" s="30">
        <f t="shared" si="0"/>
        <v>1000</v>
      </c>
      <c r="F16" s="22">
        <f t="shared" si="1"/>
        <v>0.64516129032258063</v>
      </c>
      <c r="G16" s="23">
        <f t="shared" si="2"/>
        <v>2.8968713789107765E-3</v>
      </c>
    </row>
    <row r="17" spans="1:7" x14ac:dyDescent="0.25">
      <c r="A17" s="18" t="s">
        <v>17</v>
      </c>
      <c r="B17" s="31" t="s">
        <v>26</v>
      </c>
      <c r="C17" s="29">
        <v>2000</v>
      </c>
      <c r="D17" s="75"/>
      <c r="E17" s="30">
        <f t="shared" si="0"/>
        <v>2000</v>
      </c>
      <c r="F17" s="22">
        <f t="shared" si="1"/>
        <v>1.2903225806451613</v>
      </c>
      <c r="G17" s="23">
        <f t="shared" si="2"/>
        <v>5.7937427578215531E-3</v>
      </c>
    </row>
    <row r="18" spans="1:7" x14ac:dyDescent="0.25">
      <c r="A18" s="18" t="s">
        <v>17</v>
      </c>
      <c r="B18" s="27" t="s">
        <v>27</v>
      </c>
      <c r="C18" s="32">
        <v>5000</v>
      </c>
      <c r="D18" s="76"/>
      <c r="E18" s="30">
        <f t="shared" si="0"/>
        <v>5000</v>
      </c>
      <c r="F18" s="22">
        <f t="shared" si="1"/>
        <v>3.225806451612903</v>
      </c>
      <c r="G18" s="23">
        <f t="shared" si="2"/>
        <v>1.4484356894553883E-2</v>
      </c>
    </row>
    <row r="19" spans="1:7" x14ac:dyDescent="0.25">
      <c r="A19" s="18" t="s">
        <v>17</v>
      </c>
      <c r="B19" s="25" t="s">
        <v>28</v>
      </c>
      <c r="C19" s="32">
        <v>4000</v>
      </c>
      <c r="D19" s="76"/>
      <c r="E19" s="30">
        <f t="shared" si="0"/>
        <v>4000</v>
      </c>
      <c r="F19" s="22">
        <f t="shared" si="1"/>
        <v>2.5806451612903225</v>
      </c>
      <c r="G19" s="23">
        <f t="shared" si="2"/>
        <v>1.1587485515643106E-2</v>
      </c>
    </row>
    <row r="20" spans="1:7" x14ac:dyDescent="0.25">
      <c r="A20" s="18" t="s">
        <v>17</v>
      </c>
      <c r="B20" s="27" t="s">
        <v>29</v>
      </c>
      <c r="C20" s="32">
        <v>1000</v>
      </c>
      <c r="D20" s="76"/>
      <c r="E20" s="30">
        <f t="shared" si="0"/>
        <v>1000</v>
      </c>
      <c r="F20" s="22">
        <f t="shared" si="1"/>
        <v>0.64516129032258063</v>
      </c>
      <c r="G20" s="23">
        <f t="shared" si="2"/>
        <v>2.8968713789107765E-3</v>
      </c>
    </row>
    <row r="21" spans="1:7" x14ac:dyDescent="0.25">
      <c r="A21" s="18" t="s">
        <v>17</v>
      </c>
      <c r="B21" s="25" t="s">
        <v>30</v>
      </c>
      <c r="C21" s="33">
        <v>5000</v>
      </c>
      <c r="D21" s="77"/>
      <c r="E21" s="30">
        <f t="shared" si="0"/>
        <v>5000</v>
      </c>
      <c r="F21" s="22">
        <f t="shared" si="1"/>
        <v>3.225806451612903</v>
      </c>
      <c r="G21" s="23">
        <f t="shared" si="2"/>
        <v>1.4484356894553883E-2</v>
      </c>
    </row>
    <row r="22" spans="1:7" x14ac:dyDescent="0.25">
      <c r="A22" s="18" t="s">
        <v>31</v>
      </c>
      <c r="B22" s="34" t="s">
        <v>32</v>
      </c>
      <c r="C22" s="35">
        <v>200</v>
      </c>
      <c r="D22" s="78"/>
      <c r="E22" s="21">
        <f t="shared" si="0"/>
        <v>200</v>
      </c>
      <c r="F22" s="22">
        <f t="shared" si="1"/>
        <v>0.12903225806451613</v>
      </c>
      <c r="G22" s="23">
        <f t="shared" si="2"/>
        <v>5.7937427578215526E-4</v>
      </c>
    </row>
    <row r="23" spans="1:7" x14ac:dyDescent="0.25">
      <c r="A23" s="18" t="s">
        <v>33</v>
      </c>
      <c r="B23" s="36" t="s">
        <v>33</v>
      </c>
      <c r="C23" s="20">
        <v>0</v>
      </c>
      <c r="D23" s="72"/>
      <c r="E23" s="21">
        <f t="shared" si="0"/>
        <v>0</v>
      </c>
      <c r="F23" s="22">
        <f t="shared" si="1"/>
        <v>0</v>
      </c>
      <c r="G23" s="23">
        <f t="shared" si="2"/>
        <v>0</v>
      </c>
    </row>
    <row r="24" spans="1:7" x14ac:dyDescent="0.25">
      <c r="A24" s="18" t="s">
        <v>34</v>
      </c>
      <c r="B24" s="37" t="s">
        <v>35</v>
      </c>
      <c r="C24" s="20">
        <f>C8*0.06</f>
        <v>15000</v>
      </c>
      <c r="D24" s="72"/>
      <c r="E24" s="21">
        <f t="shared" si="0"/>
        <v>15000</v>
      </c>
      <c r="F24" s="22">
        <f t="shared" si="1"/>
        <v>9.67741935483871</v>
      </c>
      <c r="G24" s="23">
        <f t="shared" si="2"/>
        <v>4.3453070683661645E-2</v>
      </c>
    </row>
    <row r="25" spans="1:7" x14ac:dyDescent="0.25">
      <c r="A25" s="18" t="s">
        <v>34</v>
      </c>
      <c r="B25" s="34" t="s">
        <v>36</v>
      </c>
      <c r="C25" s="20">
        <f>3000</f>
        <v>3000</v>
      </c>
      <c r="D25" s="72"/>
      <c r="E25" s="21">
        <f t="shared" si="0"/>
        <v>3000</v>
      </c>
      <c r="F25" s="22">
        <f t="shared" si="1"/>
        <v>1.935483870967742</v>
      </c>
      <c r="G25" s="23">
        <f t="shared" si="2"/>
        <v>8.6906141367323296E-3</v>
      </c>
    </row>
    <row r="26" spans="1:7" x14ac:dyDescent="0.25">
      <c r="A26" s="18" t="s">
        <v>34</v>
      </c>
      <c r="B26" s="34" t="s">
        <v>37</v>
      </c>
      <c r="C26" s="20">
        <f>5000</f>
        <v>5000</v>
      </c>
      <c r="D26" s="72"/>
      <c r="E26" s="21">
        <f t="shared" si="0"/>
        <v>5000</v>
      </c>
      <c r="F26" s="22">
        <f t="shared" si="1"/>
        <v>3.225806451612903</v>
      </c>
      <c r="G26" s="23">
        <f t="shared" si="2"/>
        <v>1.4484356894553883E-2</v>
      </c>
    </row>
    <row r="27" spans="1:7" ht="15.75" thickBot="1" x14ac:dyDescent="0.3">
      <c r="A27" s="38" t="s">
        <v>38</v>
      </c>
      <c r="B27" s="19" t="s">
        <v>38</v>
      </c>
      <c r="C27" s="39">
        <v>25000</v>
      </c>
      <c r="D27" s="79"/>
      <c r="E27" s="40">
        <f t="shared" si="0"/>
        <v>25000</v>
      </c>
      <c r="F27" s="41">
        <f t="shared" si="1"/>
        <v>16.129032258064516</v>
      </c>
      <c r="G27" s="42">
        <f t="shared" si="2"/>
        <v>7.242178447276941E-2</v>
      </c>
    </row>
    <row r="28" spans="1:7" ht="15.75" thickBot="1" x14ac:dyDescent="0.3">
      <c r="A28" s="43" t="s">
        <v>39</v>
      </c>
      <c r="B28" s="44"/>
      <c r="C28" s="45">
        <f>SUM(C8:C27)</f>
        <v>345200</v>
      </c>
      <c r="D28" s="45"/>
      <c r="E28" s="45">
        <f>SUM(E8:E27)</f>
        <v>345200</v>
      </c>
      <c r="F28" s="45">
        <f>SUM(F8:F27)</f>
        <v>222.70967741935482</v>
      </c>
      <c r="G28" s="46">
        <f>SUM(G8:G27)</f>
        <v>1</v>
      </c>
    </row>
    <row r="29" spans="1:7" ht="15.75" x14ac:dyDescent="0.25">
      <c r="A29" s="14" t="s">
        <v>40</v>
      </c>
      <c r="B29" s="15"/>
      <c r="C29" s="15" t="s">
        <v>67</v>
      </c>
      <c r="D29" s="15" t="s">
        <v>65</v>
      </c>
      <c r="E29" s="15" t="s">
        <v>12</v>
      </c>
      <c r="F29" s="15" t="s">
        <v>13</v>
      </c>
      <c r="G29" s="16" t="s">
        <v>14</v>
      </c>
    </row>
    <row r="30" spans="1:7" x14ac:dyDescent="0.25">
      <c r="A30" s="38" t="s">
        <v>41</v>
      </c>
      <c r="B30" s="47" t="s">
        <v>42</v>
      </c>
      <c r="C30" s="48">
        <f>'[1]Mortgage Income Estimate'!B17</f>
        <v>192717.24720581545</v>
      </c>
      <c r="D30" s="72"/>
      <c r="E30" s="21">
        <f t="shared" ref="E30:E35" si="3">C30/$G$5</f>
        <v>192717.24720581545</v>
      </c>
      <c r="F30" s="22">
        <f t="shared" ref="F30:F35" si="4">C30/$G$6</f>
        <v>124.33370787471965</v>
      </c>
      <c r="G30" s="23">
        <f t="shared" ref="G30:G35" si="5">C30/$C$28</f>
        <v>0.55827707765299961</v>
      </c>
    </row>
    <row r="31" spans="1:7" x14ac:dyDescent="0.25">
      <c r="A31" s="49" t="s">
        <v>41</v>
      </c>
      <c r="B31" s="47" t="s">
        <v>43</v>
      </c>
      <c r="C31" s="20">
        <v>30000</v>
      </c>
      <c r="D31" s="72"/>
      <c r="E31" s="21">
        <f t="shared" si="3"/>
        <v>30000</v>
      </c>
      <c r="F31" s="22">
        <f t="shared" si="4"/>
        <v>19.35483870967742</v>
      </c>
      <c r="G31" s="23">
        <f t="shared" si="5"/>
        <v>8.6906141367323289E-2</v>
      </c>
    </row>
    <row r="32" spans="1:7" x14ac:dyDescent="0.25">
      <c r="A32" s="49" t="s">
        <v>41</v>
      </c>
      <c r="B32" s="50" t="s">
        <v>44</v>
      </c>
      <c r="C32" s="20">
        <v>20000</v>
      </c>
      <c r="D32" s="72"/>
      <c r="E32" s="21">
        <f t="shared" si="3"/>
        <v>20000</v>
      </c>
      <c r="F32" s="22">
        <f t="shared" si="4"/>
        <v>12.903225806451612</v>
      </c>
      <c r="G32" s="23">
        <f t="shared" si="5"/>
        <v>5.7937427578215531E-2</v>
      </c>
    </row>
    <row r="33" spans="1:7" x14ac:dyDescent="0.25">
      <c r="A33" s="49" t="s">
        <v>41</v>
      </c>
      <c r="B33" s="50" t="s">
        <v>45</v>
      </c>
      <c r="C33" s="20"/>
      <c r="D33" s="72"/>
      <c r="E33" s="21">
        <f t="shared" si="3"/>
        <v>0</v>
      </c>
      <c r="F33" s="22">
        <f t="shared" si="4"/>
        <v>0</v>
      </c>
      <c r="G33" s="23">
        <f t="shared" si="5"/>
        <v>0</v>
      </c>
    </row>
    <row r="34" spans="1:7" x14ac:dyDescent="0.25">
      <c r="A34" s="49" t="s">
        <v>41</v>
      </c>
      <c r="B34" s="50" t="s">
        <v>45</v>
      </c>
      <c r="C34" s="20"/>
      <c r="D34" s="72"/>
      <c r="E34" s="21">
        <f t="shared" si="3"/>
        <v>0</v>
      </c>
      <c r="F34" s="22">
        <f t="shared" si="4"/>
        <v>0</v>
      </c>
      <c r="G34" s="23">
        <f t="shared" si="5"/>
        <v>0</v>
      </c>
    </row>
    <row r="35" spans="1:7" ht="15.75" thickBot="1" x14ac:dyDescent="0.3">
      <c r="A35" s="49" t="s">
        <v>41</v>
      </c>
      <c r="B35" s="51" t="s">
        <v>46</v>
      </c>
      <c r="C35" s="20">
        <v>102482.75</v>
      </c>
      <c r="D35" s="72"/>
      <c r="E35" s="21">
        <f t="shared" si="3"/>
        <v>102482.75</v>
      </c>
      <c r="F35" s="22">
        <f t="shared" si="4"/>
        <v>66.117903225806458</v>
      </c>
      <c r="G35" s="23">
        <f t="shared" si="5"/>
        <v>0.29687934530706839</v>
      </c>
    </row>
    <row r="36" spans="1:7" x14ac:dyDescent="0.25">
      <c r="A36" s="52" t="s">
        <v>47</v>
      </c>
      <c r="B36" s="53"/>
      <c r="C36" s="54">
        <f>SUM(C30:C35)</f>
        <v>345199.99720581545</v>
      </c>
      <c r="D36" s="54"/>
      <c r="E36" s="54"/>
      <c r="F36" s="54"/>
      <c r="G36" s="55"/>
    </row>
    <row r="37" spans="1:7" ht="15.75" thickBot="1" x14ac:dyDescent="0.3">
      <c r="A37" s="56" t="s">
        <v>48</v>
      </c>
      <c r="B37" s="57"/>
      <c r="C37" s="58">
        <f>C28-C36</f>
        <v>2.7941845473833382E-3</v>
      </c>
      <c r="D37" s="58"/>
      <c r="E37" s="58">
        <f>C37/$G$5</f>
        <v>2.7941845473833382E-3</v>
      </c>
      <c r="F37" s="58">
        <f>C37/$G$6</f>
        <v>1.8026997079892504E-6</v>
      </c>
      <c r="G37" s="59">
        <f t="shared" ref="G37" si="6">C37/$C$28</f>
        <v>8.0943932427095543E-9</v>
      </c>
    </row>
  </sheetData>
  <mergeCells count="1">
    <mergeCell ref="A2:G2"/>
  </mergeCells>
  <conditionalFormatting sqref="C37:D37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5C94-6E08-43AA-8CBD-EFA8D619FF48}">
  <dimension ref="A2:B18"/>
  <sheetViews>
    <sheetView showGridLines="0" workbookViewId="0">
      <selection activeCell="G29" sqref="G29"/>
    </sheetView>
  </sheetViews>
  <sheetFormatPr defaultRowHeight="15" x14ac:dyDescent="0.25"/>
  <cols>
    <col min="1" max="1" width="28" customWidth="1"/>
    <col min="2" max="2" width="18.140625" customWidth="1"/>
  </cols>
  <sheetData>
    <row r="2" spans="1:2" x14ac:dyDescent="0.25">
      <c r="B2" s="60" t="s">
        <v>49</v>
      </c>
    </row>
    <row r="3" spans="1:2" x14ac:dyDescent="0.25">
      <c r="A3" s="61" t="s">
        <v>50</v>
      </c>
      <c r="B3" s="62">
        <v>320000</v>
      </c>
    </row>
    <row r="4" spans="1:2" x14ac:dyDescent="0.25">
      <c r="A4" s="61" t="s">
        <v>51</v>
      </c>
      <c r="B4" s="63">
        <f>'[1]Sources Uses Construction Loan'!C28</f>
        <v>342700</v>
      </c>
    </row>
    <row r="5" spans="1:2" x14ac:dyDescent="0.25">
      <c r="A5" s="61" t="s">
        <v>52</v>
      </c>
      <c r="B5" s="64">
        <v>4</v>
      </c>
    </row>
    <row r="6" spans="1:2" x14ac:dyDescent="0.25">
      <c r="A6" s="61" t="s">
        <v>53</v>
      </c>
      <c r="B6" s="65">
        <v>0.6</v>
      </c>
    </row>
    <row r="7" spans="1:2" x14ac:dyDescent="0.25">
      <c r="A7" s="61" t="s">
        <v>54</v>
      </c>
      <c r="B7" s="66">
        <v>63600</v>
      </c>
    </row>
    <row r="8" spans="1:2" x14ac:dyDescent="0.25">
      <c r="A8" s="61" t="s">
        <v>55</v>
      </c>
      <c r="B8" s="67">
        <v>0.3</v>
      </c>
    </row>
    <row r="9" spans="1:2" x14ac:dyDescent="0.25">
      <c r="A9" s="61" t="s">
        <v>56</v>
      </c>
      <c r="B9" s="68">
        <f>(B8*B7)/12</f>
        <v>1590</v>
      </c>
    </row>
    <row r="10" spans="1:2" x14ac:dyDescent="0.25">
      <c r="A10" s="61" t="s">
        <v>57</v>
      </c>
      <c r="B10" s="63">
        <f>(B4*0.006)/12</f>
        <v>171.35</v>
      </c>
    </row>
    <row r="11" spans="1:2" x14ac:dyDescent="0.25">
      <c r="A11" s="61" t="s">
        <v>58</v>
      </c>
      <c r="B11" s="68">
        <f>((B4*0.8)*1.42/100)/12</f>
        <v>324.42266666666666</v>
      </c>
    </row>
    <row r="12" spans="1:2" x14ac:dyDescent="0.25">
      <c r="A12" s="61" t="s">
        <v>59</v>
      </c>
      <c r="B12" s="63">
        <f>B9-B10-B11</f>
        <v>1094.2273333333335</v>
      </c>
    </row>
    <row r="13" spans="1:2" x14ac:dyDescent="0.25">
      <c r="A13" s="61" t="s">
        <v>60</v>
      </c>
      <c r="B13" s="69">
        <v>5.5E-2</v>
      </c>
    </row>
    <row r="14" spans="1:2" x14ac:dyDescent="0.25">
      <c r="A14" s="61" t="s">
        <v>61</v>
      </c>
      <c r="B14" s="68">
        <f>PV(B13/12,360,B12)*-1</f>
        <v>192717.24720581545</v>
      </c>
    </row>
    <row r="15" spans="1:2" x14ac:dyDescent="0.25">
      <c r="A15" s="61" t="s">
        <v>62</v>
      </c>
      <c r="B15" s="64">
        <v>1</v>
      </c>
    </row>
    <row r="16" spans="1:2" x14ac:dyDescent="0.25">
      <c r="A16" s="61"/>
    </row>
    <row r="17" spans="1:2" x14ac:dyDescent="0.25">
      <c r="A17" s="61" t="s">
        <v>63</v>
      </c>
      <c r="B17" s="70">
        <f>B15*B14</f>
        <v>192717.24720581545</v>
      </c>
    </row>
    <row r="18" spans="1:2" x14ac:dyDescent="0.25">
      <c r="A18" s="61"/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 Uses Soft Second</vt:lpstr>
      <vt:lpstr>Mortgage Income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Ippolito, Ruth</dc:creator>
  <cp:lastModifiedBy>Ippolito, Ruth</cp:lastModifiedBy>
  <dcterms:created xsi:type="dcterms:W3CDTF">2024-08-28T19:10:30Z</dcterms:created>
  <dcterms:modified xsi:type="dcterms:W3CDTF">2024-08-29T14:16:24Z</dcterms:modified>
</cp:coreProperties>
</file>